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0" yWindow="0" windowWidth="27640" windowHeight="159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3" i="1" l="1"/>
  <c r="J78" i="1"/>
  <c r="J77" i="1"/>
  <c r="J76" i="1"/>
  <c r="J75" i="1"/>
  <c r="J74" i="1"/>
  <c r="E18" i="1"/>
  <c r="F18" i="1"/>
  <c r="B3" i="1"/>
  <c r="K73" i="1"/>
  <c r="K78" i="1"/>
  <c r="K77" i="1"/>
  <c r="K76" i="1"/>
  <c r="K75" i="1"/>
  <c r="K74" i="1"/>
  <c r="E50" i="1"/>
  <c r="J50" i="1"/>
  <c r="E51" i="1"/>
  <c r="J51" i="1"/>
  <c r="E52" i="1"/>
  <c r="J52" i="1"/>
  <c r="E53" i="1"/>
  <c r="J53" i="1"/>
  <c r="E54" i="1"/>
  <c r="J54" i="1"/>
  <c r="E55" i="1"/>
  <c r="J55" i="1"/>
  <c r="E56" i="1"/>
  <c r="J56" i="1"/>
  <c r="E57" i="1"/>
  <c r="J57" i="1"/>
  <c r="D58" i="1"/>
  <c r="E58" i="1"/>
  <c r="J58" i="1"/>
  <c r="D59" i="1"/>
  <c r="E59" i="1"/>
  <c r="J59" i="1"/>
  <c r="D60" i="1"/>
  <c r="E60" i="1"/>
  <c r="J60" i="1"/>
  <c r="D61" i="1"/>
  <c r="E61" i="1"/>
  <c r="J61" i="1"/>
  <c r="D62" i="1"/>
  <c r="E62" i="1"/>
  <c r="J62" i="1"/>
  <c r="D63" i="1"/>
  <c r="E63" i="1"/>
  <c r="J63" i="1"/>
  <c r="D64" i="1"/>
  <c r="E64" i="1"/>
  <c r="J64" i="1"/>
  <c r="D65" i="1"/>
  <c r="E65" i="1"/>
  <c r="J65" i="1"/>
  <c r="D66" i="1"/>
  <c r="E66" i="1"/>
  <c r="J66" i="1"/>
  <c r="D67" i="1"/>
  <c r="E67" i="1"/>
  <c r="J67" i="1"/>
  <c r="D68" i="1"/>
  <c r="E68" i="1"/>
  <c r="J68" i="1"/>
  <c r="J6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E14" i="1"/>
  <c r="F14" i="1"/>
  <c r="E15" i="1"/>
  <c r="F15" i="1"/>
  <c r="E16" i="1"/>
  <c r="F16" i="1"/>
  <c r="E17" i="1"/>
  <c r="F17" i="1"/>
  <c r="E19" i="1"/>
  <c r="F19" i="1"/>
  <c r="E20" i="1"/>
  <c r="F20" i="1"/>
  <c r="E21" i="1"/>
  <c r="F21" i="1"/>
  <c r="E22" i="1"/>
  <c r="F22" i="1"/>
  <c r="D23" i="1"/>
  <c r="E23" i="1"/>
  <c r="F23" i="1"/>
  <c r="D24" i="1"/>
  <c r="E24" i="1"/>
  <c r="F24" i="1"/>
  <c r="D25" i="1"/>
  <c r="E25" i="1"/>
  <c r="F25" i="1"/>
  <c r="D26" i="1"/>
  <c r="E26" i="1"/>
  <c r="F26" i="1"/>
  <c r="D27" i="1"/>
  <c r="E27" i="1"/>
  <c r="F27" i="1"/>
  <c r="D28" i="1"/>
  <c r="E28" i="1"/>
  <c r="F28" i="1"/>
  <c r="D29" i="1"/>
  <c r="E29" i="1"/>
  <c r="F29" i="1"/>
  <c r="D30" i="1"/>
  <c r="E30" i="1"/>
  <c r="F30" i="1"/>
  <c r="D31" i="1"/>
  <c r="E31" i="1"/>
  <c r="F31" i="1"/>
  <c r="D32" i="1"/>
  <c r="E32" i="1"/>
  <c r="F32" i="1"/>
  <c r="D33" i="1"/>
  <c r="E33" i="1"/>
  <c r="F33" i="1"/>
  <c r="F3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14" i="1"/>
  <c r="I14" i="1"/>
  <c r="H14" i="1"/>
  <c r="G14" i="1"/>
  <c r="E49" i="1"/>
  <c r="F49" i="1"/>
  <c r="J49" i="1"/>
  <c r="I49" i="1"/>
  <c r="H49" i="1"/>
  <c r="G49" i="1"/>
  <c r="F47" i="1"/>
  <c r="G47" i="1"/>
  <c r="H47" i="1"/>
  <c r="I47" i="1"/>
  <c r="J47" i="1"/>
  <c r="I12" i="1"/>
  <c r="H12" i="1"/>
  <c r="G12" i="1"/>
  <c r="F12" i="1"/>
</calcChain>
</file>

<file path=xl/sharedStrings.xml><?xml version="1.0" encoding="utf-8"?>
<sst xmlns="http://schemas.openxmlformats.org/spreadsheetml/2006/main" count="95" uniqueCount="61">
  <si>
    <t>1 mile</t>
  </si>
  <si>
    <t>Hurricane Category</t>
  </si>
  <si>
    <t>EYE WALL Speed m/s</t>
  </si>
  <si>
    <t>Radius of Eye Wall (meters)</t>
  </si>
  <si>
    <t>Radius of Eye in Miles</t>
  </si>
  <si>
    <t>Gravitational Constant</t>
  </si>
  <si>
    <t>MASS OF HURICANE (Kg)</t>
  </si>
  <si>
    <t>EYE WALL Speed km/h</t>
  </si>
  <si>
    <t>Average Mass (Kg)</t>
  </si>
  <si>
    <t>Category 1 Average Mass in Kg</t>
  </si>
  <si>
    <t>Category 2 Average Mass in Kg</t>
  </si>
  <si>
    <t>Category 3 Average Mass in Kg</t>
  </si>
  <si>
    <t>Category 4 Average Mass in Kg</t>
  </si>
  <si>
    <t>Category 5 Average Mass in Kg</t>
  </si>
  <si>
    <t>Hurricane Wilma</t>
  </si>
  <si>
    <t>Category 1</t>
  </si>
  <si>
    <t>Category 2</t>
  </si>
  <si>
    <t>Category 3</t>
  </si>
  <si>
    <t>Category 4</t>
  </si>
  <si>
    <t>Category 5</t>
  </si>
  <si>
    <t>Hurricanes</t>
  </si>
  <si>
    <t>Wind Speed Km/h</t>
  </si>
  <si>
    <t>Category</t>
  </si>
  <si>
    <t>meters/second</t>
  </si>
  <si>
    <t>Mass in Kg</t>
  </si>
  <si>
    <t>3.02E17-4.24E17</t>
  </si>
  <si>
    <t>4.246E17-6.17E17</t>
  </si>
  <si>
    <t>6.17E17-8.47E17++</t>
  </si>
  <si>
    <t>2.33E17-3.02E17</t>
  </si>
  <si>
    <t>1.37E16 -2.34E17</t>
  </si>
  <si>
    <t>Eye Radius in Miles</t>
  </si>
  <si>
    <t>Source</t>
  </si>
  <si>
    <t>https://www.baynews9.com/fl/tampa/weather/2020/10/06/the-dreaded-pinhole-eye</t>
  </si>
  <si>
    <t>Year</t>
  </si>
  <si>
    <t>Dennis</t>
  </si>
  <si>
    <t>2.5 miles</t>
  </si>
  <si>
    <t>Opal</t>
  </si>
  <si>
    <t>3 miles</t>
  </si>
  <si>
    <t>Charley</t>
  </si>
  <si>
    <t>1.5 miles</t>
  </si>
  <si>
    <t>Andrew</t>
  </si>
  <si>
    <t>3.5 miles</t>
  </si>
  <si>
    <t>Maria</t>
  </si>
  <si>
    <t>5 miles</t>
  </si>
  <si>
    <t>1.31E16 -4.46E17</t>
  </si>
  <si>
    <t>2.23E16-5.79E17</t>
  </si>
  <si>
    <t>2.89E16-8.11E17</t>
  </si>
  <si>
    <t>4.055E16-1.18E18</t>
  </si>
  <si>
    <t>5.91E16-1.62E18++</t>
  </si>
  <si>
    <t>Category 1 Lowest to Highest Mass in Kg</t>
  </si>
  <si>
    <t>Category 2 Lowest to Highest Mass in Kg</t>
  </si>
  <si>
    <t>Category 3  Lowest to Highest Mass in Kg</t>
  </si>
  <si>
    <t>Category 4  Lowest to Highest Mass in Kg</t>
  </si>
  <si>
    <t>Category 5  Lowest to Highest Mass in Kg</t>
  </si>
  <si>
    <t>Eye Radius (meters)</t>
  </si>
  <si>
    <t>Lower Hurricane Speed Using the Simpson Saffir Scale</t>
  </si>
  <si>
    <t>Higher Hurricane Speed Using the Simpson Saffir Scale</t>
  </si>
  <si>
    <t>The Range of Mass  For The Saffir Simpson Scale</t>
  </si>
  <si>
    <t>The Average Mass  For The</t>
  </si>
  <si>
    <t>All of the mass of these Hurricane's fit within the range of theoretical expectation.</t>
  </si>
  <si>
    <t>Simpson Saffir Scale is continuous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</si>
</sst>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theme="1"/>
      <name val="Calibri"/>
      <scheme val="minor"/>
    </font>
    <font>
      <b/>
      <sz val="16"/>
      <color theme="1"/>
      <name val="Calibri"/>
      <scheme val="minor"/>
    </font>
    <font>
      <sz val="16"/>
      <color rgb="FF222222"/>
      <name val="Arial"/>
    </font>
    <font>
      <sz val="14"/>
      <color rgb="FF202124"/>
      <name val="Arial"/>
      <family val="2"/>
    </font>
    <font>
      <sz val="18"/>
      <color rgb="FF000000"/>
      <name val="Arial"/>
    </font>
    <font>
      <sz val="12"/>
      <color theme="1"/>
      <name val="Arial"/>
    </font>
    <font>
      <b/>
      <sz val="12"/>
      <color rgb="FF000000"/>
      <name val="Arial"/>
    </font>
    <font>
      <b/>
      <sz val="12"/>
      <color theme="1"/>
      <name val="Arial"/>
    </font>
    <font>
      <b/>
      <sz val="12"/>
      <color theme="1"/>
      <name val="Calibri (Body)"/>
    </font>
    <font>
      <sz val="14"/>
      <color theme="1"/>
      <name val="Times New Roman"/>
    </font>
    <font>
      <sz val="22"/>
      <color theme="1"/>
      <name val="Calibri"/>
      <scheme val="minor"/>
    </font>
    <font>
      <sz val="16"/>
      <color rgb="FF000000"/>
      <name val="Calibri"/>
      <scheme val="minor"/>
    </font>
    <font>
      <b/>
      <sz val="14"/>
      <color theme="1"/>
      <name val="Calibri"/>
      <scheme val="minor"/>
    </font>
    <font>
      <b/>
      <sz val="14"/>
      <color rgb="FF00000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rgb="FFB7DEE8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3" fontId="0" fillId="0" borderId="0" xfId="0" applyNumberFormat="1"/>
    <xf numFmtId="0" fontId="0" fillId="3" borderId="0" xfId="0" applyFill="1"/>
    <xf numFmtId="3" fontId="0" fillId="3" borderId="0" xfId="0" applyNumberFormat="1" applyFill="1"/>
    <xf numFmtId="0" fontId="1" fillId="5" borderId="0" xfId="0" applyFont="1" applyFill="1"/>
    <xf numFmtId="0" fontId="1" fillId="3" borderId="0" xfId="0" applyFont="1" applyFill="1"/>
    <xf numFmtId="0" fontId="1" fillId="2" borderId="0" xfId="0" applyFont="1" applyFill="1"/>
    <xf numFmtId="0" fontId="5" fillId="0" borderId="0" xfId="0" applyFont="1"/>
    <xf numFmtId="0" fontId="6" fillId="5" borderId="0" xfId="0" applyFont="1" applyFill="1" applyAlignment="1">
      <alignment horizontal="center" vertical="top"/>
    </xf>
    <xf numFmtId="0" fontId="0" fillId="4" borderId="1" xfId="0" applyFill="1" applyBorder="1"/>
    <xf numFmtId="0" fontId="0" fillId="5" borderId="1" xfId="0" applyFill="1" applyBorder="1"/>
    <xf numFmtId="0" fontId="5" fillId="6" borderId="0" xfId="0" applyFont="1" applyFill="1"/>
    <xf numFmtId="0" fontId="0" fillId="2" borderId="0" xfId="0" applyFill="1" applyAlignment="1">
      <alignment horizontal="right"/>
    </xf>
    <xf numFmtId="0" fontId="0" fillId="2" borderId="0" xfId="0" applyFill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3" borderId="1" xfId="0" applyFill="1" applyBorder="1"/>
    <xf numFmtId="0" fontId="0" fillId="7" borderId="1" xfId="0" applyFill="1" applyBorder="1"/>
    <xf numFmtId="11" fontId="0" fillId="0" borderId="0" xfId="0" applyNumberForma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Font="1"/>
    <xf numFmtId="0" fontId="10" fillId="2" borderId="0" xfId="0" applyFont="1" applyFill="1"/>
    <xf numFmtId="0" fontId="1" fillId="0" borderId="0" xfId="0" applyFont="1"/>
    <xf numFmtId="0" fontId="1" fillId="2" borderId="0" xfId="0" applyFont="1" applyFill="1" applyAlignment="1">
      <alignment horizontal="center"/>
    </xf>
    <xf numFmtId="0" fontId="0" fillId="9" borderId="0" xfId="0" applyFill="1"/>
    <xf numFmtId="0" fontId="11" fillId="9" borderId="0" xfId="0" applyFont="1" applyFill="1" applyAlignment="1">
      <alignment horizontal="center" vertical="center"/>
    </xf>
    <xf numFmtId="0" fontId="12" fillId="9" borderId="0" xfId="0" applyFont="1" applyFill="1" applyAlignment="1">
      <alignment vertical="center"/>
    </xf>
    <xf numFmtId="0" fontId="13" fillId="2" borderId="0" xfId="0" applyFont="1" applyFill="1"/>
    <xf numFmtId="0" fontId="14" fillId="5" borderId="0" xfId="0" applyFont="1" applyFill="1" applyAlignment="1">
      <alignment horizontal="left" vertical="top"/>
    </xf>
    <xf numFmtId="0" fontId="14" fillId="2" borderId="0" xfId="0" applyFont="1" applyFill="1" applyAlignment="1">
      <alignment horizontal="left"/>
    </xf>
    <xf numFmtId="0" fontId="5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6" fillId="8" borderId="1" xfId="0" applyFont="1" applyFill="1" applyBorder="1" applyAlignment="1">
      <alignment horizontal="left" vertical="center"/>
    </xf>
    <xf numFmtId="0" fontId="0" fillId="8" borderId="1" xfId="0" applyFill="1" applyBorder="1" applyAlignment="1">
      <alignment horizontal="left" vertical="center"/>
    </xf>
    <xf numFmtId="0" fontId="15" fillId="3" borderId="0" xfId="0" applyFont="1" applyFill="1"/>
    <xf numFmtId="0" fontId="0" fillId="3" borderId="0" xfId="0" applyFill="1" applyAlignment="1">
      <alignment horizontal="left"/>
    </xf>
    <xf numFmtId="0" fontId="4" fillId="3" borderId="0" xfId="0" applyFont="1" applyFill="1"/>
    <xf numFmtId="0" fontId="5" fillId="6" borderId="0" xfId="0" applyFont="1" applyFill="1" applyAlignment="1">
      <alignment horizontal="left"/>
    </xf>
    <xf numFmtId="0" fontId="6" fillId="5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/>
    </xf>
    <xf numFmtId="0" fontId="16" fillId="10" borderId="0" xfId="0" applyFont="1" applyFill="1" applyAlignment="1">
      <alignment horizontal="left"/>
    </xf>
    <xf numFmtId="0" fontId="0" fillId="4" borderId="0" xfId="0" applyFill="1"/>
    <xf numFmtId="0" fontId="17" fillId="3" borderId="0" xfId="0" applyFont="1" applyFill="1" applyAlignment="1">
      <alignment horizontal="left"/>
    </xf>
    <xf numFmtId="0" fontId="18" fillId="11" borderId="0" xfId="0" applyFont="1" applyFill="1" applyAlignment="1">
      <alignment horizontal="left"/>
    </xf>
    <xf numFmtId="0" fontId="17" fillId="3" borderId="0" xfId="0" applyFont="1" applyFill="1"/>
    <xf numFmtId="0" fontId="0" fillId="8" borderId="0" xfId="0" applyFill="1"/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6</xdr:row>
          <xdr:rowOff>63500</xdr:rowOff>
        </xdr:from>
        <xdr:to>
          <xdr:col>5</xdr:col>
          <xdr:colOff>0</xdr:colOff>
          <xdr:row>10</xdr:row>
          <xdr:rowOff>127000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43</xdr:row>
          <xdr:rowOff>0</xdr:rowOff>
        </xdr:from>
        <xdr:to>
          <xdr:col>5</xdr:col>
          <xdr:colOff>0</xdr:colOff>
          <xdr:row>48</xdr:row>
          <xdr:rowOff>38100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4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G214"/>
  <sheetViews>
    <sheetView tabSelected="1" showRuler="0" topLeftCell="C74" workbookViewId="0">
      <selection activeCell="D88" sqref="D88"/>
    </sheetView>
  </sheetViews>
  <sheetFormatPr baseColWidth="10" defaultRowHeight="15" x14ac:dyDescent="0"/>
  <cols>
    <col min="2" max="2" width="11.1640625" bestFit="1" customWidth="1"/>
    <col min="3" max="3" width="39.83203125" customWidth="1"/>
    <col min="4" max="4" width="19.83203125" customWidth="1"/>
    <col min="5" max="5" width="24" customWidth="1"/>
    <col min="6" max="6" width="22.1640625" customWidth="1"/>
    <col min="7" max="8" width="22.6640625" customWidth="1"/>
    <col min="9" max="9" width="22.33203125" customWidth="1"/>
    <col min="10" max="10" width="22.5" customWidth="1"/>
    <col min="11" max="11" width="16.6640625" customWidth="1"/>
    <col min="12" max="12" width="17.33203125" customWidth="1"/>
    <col min="13" max="13" width="21.6640625" customWidth="1"/>
    <col min="14" max="14" width="12.1640625" bestFit="1" customWidth="1"/>
    <col min="15" max="15" width="17.83203125" customWidth="1"/>
    <col min="17" max="17" width="20.5" customWidth="1"/>
    <col min="18" max="18" width="8.1640625" customWidth="1"/>
    <col min="19" max="19" width="17" customWidth="1"/>
    <col min="20" max="20" width="20.5" customWidth="1"/>
    <col min="21" max="21" width="18.1640625" customWidth="1"/>
    <col min="22" max="22" width="18.6640625" customWidth="1"/>
    <col min="23" max="24" width="12.1640625" bestFit="1" customWidth="1"/>
    <col min="27" max="27" width="12.1640625" bestFit="1" customWidth="1"/>
    <col min="30" max="30" width="12.1640625" bestFit="1" customWidth="1"/>
    <col min="31" max="31" width="15.83203125" customWidth="1"/>
    <col min="32" max="32" width="24.1640625" customWidth="1"/>
    <col min="33" max="33" width="29.1640625" customWidth="1"/>
  </cols>
  <sheetData>
    <row r="1" spans="2:11">
      <c r="D1" s="2"/>
      <c r="E1" s="2"/>
      <c r="F1" s="2"/>
      <c r="G1" s="2"/>
      <c r="H1" s="2"/>
      <c r="I1" s="2"/>
      <c r="J1" s="2"/>
    </row>
    <row r="2" spans="2:11">
      <c r="B2" s="5" t="s">
        <v>5</v>
      </c>
      <c r="C2" s="2"/>
      <c r="D2" s="2"/>
      <c r="E2" s="2"/>
      <c r="F2" s="2"/>
      <c r="G2" s="2"/>
      <c r="H2" s="2"/>
      <c r="I2" s="2"/>
      <c r="J2" s="2"/>
    </row>
    <row r="3" spans="2:11">
      <c r="B3" s="43">
        <f>0.000000000066743</f>
        <v>6.6742999999999994E-11</v>
      </c>
      <c r="C3" s="43"/>
      <c r="D3" s="2"/>
      <c r="E3" s="2"/>
      <c r="F3" s="2"/>
      <c r="G3" s="2"/>
      <c r="H3" s="2"/>
      <c r="I3" s="2"/>
      <c r="J3" s="2"/>
    </row>
    <row r="4" spans="2:11" ht="28">
      <c r="B4" s="43"/>
      <c r="C4" s="43"/>
      <c r="D4" s="36" t="s">
        <v>56</v>
      </c>
      <c r="E4" s="2"/>
      <c r="F4" s="2"/>
      <c r="G4" s="2"/>
      <c r="H4" s="2"/>
      <c r="I4" s="2"/>
      <c r="J4" s="2"/>
      <c r="K4" s="1"/>
    </row>
    <row r="5" spans="2:11">
      <c r="B5" s="43"/>
      <c r="C5" s="43"/>
      <c r="D5" s="2"/>
      <c r="E5" s="2"/>
      <c r="F5" s="2"/>
      <c r="G5" s="2"/>
      <c r="H5" s="2"/>
      <c r="I5" s="2"/>
      <c r="J5" s="2"/>
    </row>
    <row r="6" spans="2:11" ht="18">
      <c r="B6" s="44" t="s">
        <v>58</v>
      </c>
      <c r="C6" s="44"/>
      <c r="D6" s="2"/>
      <c r="E6" s="2"/>
      <c r="F6" s="2"/>
      <c r="G6" s="2"/>
      <c r="H6" s="2"/>
      <c r="I6" s="2"/>
      <c r="J6" s="2"/>
    </row>
    <row r="7" spans="2:11" ht="18">
      <c r="B7" s="46" t="s">
        <v>60</v>
      </c>
      <c r="C7" s="45"/>
      <c r="D7" s="2"/>
      <c r="E7" s="2"/>
      <c r="F7" s="6" t="s">
        <v>1</v>
      </c>
      <c r="G7" s="6" t="s">
        <v>1</v>
      </c>
      <c r="H7" s="6" t="s">
        <v>1</v>
      </c>
      <c r="I7" s="6" t="s">
        <v>1</v>
      </c>
      <c r="J7" s="6" t="s">
        <v>1</v>
      </c>
    </row>
    <row r="8" spans="2:11">
      <c r="B8" s="38"/>
      <c r="C8" s="2"/>
      <c r="D8" s="2"/>
      <c r="E8" s="2"/>
      <c r="F8" s="2">
        <v>1</v>
      </c>
      <c r="G8" s="2">
        <v>2</v>
      </c>
      <c r="H8" s="2">
        <v>3</v>
      </c>
      <c r="I8" s="2">
        <v>4</v>
      </c>
      <c r="J8" s="2">
        <v>5</v>
      </c>
    </row>
    <row r="9" spans="2:11" ht="20">
      <c r="B9" s="39" t="s">
        <v>9</v>
      </c>
      <c r="C9" s="39"/>
      <c r="D9" s="2"/>
      <c r="E9" s="2"/>
      <c r="F9" s="6" t="s">
        <v>7</v>
      </c>
      <c r="G9" s="6" t="s">
        <v>7</v>
      </c>
      <c r="H9" s="6" t="s">
        <v>7</v>
      </c>
      <c r="I9" s="6" t="s">
        <v>7</v>
      </c>
      <c r="J9" s="6" t="s">
        <v>7</v>
      </c>
    </row>
    <row r="10" spans="2:11" ht="20">
      <c r="B10" s="40"/>
      <c r="C10" s="40" t="s">
        <v>29</v>
      </c>
      <c r="D10" s="2"/>
      <c r="E10" s="2"/>
      <c r="F10" s="3">
        <v>153</v>
      </c>
      <c r="G10" s="3">
        <v>177</v>
      </c>
      <c r="H10" s="3">
        <v>208</v>
      </c>
      <c r="I10" s="3">
        <v>251</v>
      </c>
      <c r="J10" s="3">
        <v>294</v>
      </c>
    </row>
    <row r="11" spans="2:11" ht="20">
      <c r="B11" s="37"/>
      <c r="C11" s="41"/>
      <c r="D11" s="2"/>
      <c r="E11" s="2"/>
      <c r="F11" s="6" t="s">
        <v>2</v>
      </c>
      <c r="G11" s="6" t="s">
        <v>2</v>
      </c>
      <c r="H11" s="6" t="s">
        <v>2</v>
      </c>
      <c r="I11" s="6" t="s">
        <v>2</v>
      </c>
      <c r="J11" s="6" t="s">
        <v>2</v>
      </c>
    </row>
    <row r="12" spans="2:11" ht="20">
      <c r="B12" s="39" t="s">
        <v>10</v>
      </c>
      <c r="C12" s="42"/>
      <c r="D12" s="2"/>
      <c r="E12" s="2"/>
      <c r="F12" s="3">
        <f>153000/3600</f>
        <v>42.5</v>
      </c>
      <c r="G12" s="3">
        <f>177000/3600</f>
        <v>49.166666666666664</v>
      </c>
      <c r="H12" s="3">
        <f>208000/3600</f>
        <v>57.777777777777779</v>
      </c>
      <c r="I12" s="3">
        <f>251000/3600</f>
        <v>69.722222222222229</v>
      </c>
      <c r="J12" s="3">
        <v>81.667000000000002</v>
      </c>
    </row>
    <row r="13" spans="2:11" ht="20">
      <c r="B13" s="40"/>
      <c r="C13" s="40" t="s">
        <v>28</v>
      </c>
      <c r="D13" s="5" t="s">
        <v>4</v>
      </c>
      <c r="E13" s="5" t="s">
        <v>3</v>
      </c>
      <c r="F13" s="5" t="s">
        <v>6</v>
      </c>
      <c r="G13" s="5" t="s">
        <v>6</v>
      </c>
      <c r="H13" s="5" t="s">
        <v>6</v>
      </c>
      <c r="I13" s="5" t="s">
        <v>6</v>
      </c>
      <c r="J13" s="5" t="s">
        <v>6</v>
      </c>
    </row>
    <row r="14" spans="2:11" ht="20">
      <c r="B14" s="37"/>
      <c r="C14" s="41"/>
      <c r="D14" s="9">
        <v>1</v>
      </c>
      <c r="E14" s="9">
        <f>1609.34*D14</f>
        <v>1609.34</v>
      </c>
      <c r="F14" s="10">
        <f>43*43*E14/(2*0.000000000066743)</f>
        <v>2.2291998112161576E+16</v>
      </c>
      <c r="G14" s="10">
        <f>49*49*E14/(2*0.000000000066743)</f>
        <v>2.8947045682693316E+16</v>
      </c>
      <c r="H14" s="10">
        <f>58*58*E14/(2*0.000000000066743)</f>
        <v>4.0557210194327496E+16</v>
      </c>
      <c r="I14" s="10">
        <f>70*70*E14/(2*0.000000000066743)</f>
        <v>5.9075603434068E+16</v>
      </c>
      <c r="J14" s="10">
        <f>82*82*E14/(2*0.000000000066743)</f>
        <v>8.106619540625984E+16</v>
      </c>
    </row>
    <row r="15" spans="2:11" ht="20">
      <c r="B15" s="39" t="s">
        <v>11</v>
      </c>
      <c r="C15" s="42"/>
      <c r="D15" s="9">
        <v>2</v>
      </c>
      <c r="E15" s="9">
        <f>1609.34*D15</f>
        <v>3218.68</v>
      </c>
      <c r="F15" s="10">
        <f>43*43*E15/(2*0.000000000066743)</f>
        <v>4.4583996224323152E+16</v>
      </c>
      <c r="G15" s="10">
        <f>49*49*E15/(2*0.000000000066743)</f>
        <v>5.7894091365386632E+16</v>
      </c>
      <c r="H15" s="10">
        <f>58*58*E15/(2*0.000000000066743)</f>
        <v>8.1114420388654992E+16</v>
      </c>
      <c r="I15" s="10">
        <f>70*70*E15/(2*0.000000000066743)</f>
        <v>1.18151206868136E+17</v>
      </c>
      <c r="J15" s="10">
        <f t="shared" ref="J15:J33" si="0">82*82*E15/(2*0.000000000066743)</f>
        <v>1.6213239081251968E+17</v>
      </c>
    </row>
    <row r="16" spans="2:11" ht="20">
      <c r="B16" s="40"/>
      <c r="C16" s="40" t="s">
        <v>25</v>
      </c>
      <c r="D16" s="9">
        <v>3</v>
      </c>
      <c r="E16" s="9">
        <f t="shared" ref="E16:E22" si="1">1609.34*D16</f>
        <v>4828.0199999999995</v>
      </c>
      <c r="F16" s="10">
        <f t="shared" ref="F16:F22" si="2">43*43*E16/(2*0.000000000066743)</f>
        <v>6.687599433648472E+16</v>
      </c>
      <c r="G16" s="10">
        <f t="shared" ref="G16:G24" si="3">49*49*E16/(2*0.000000000066743)</f>
        <v>8.6841137048079952E+16</v>
      </c>
      <c r="H16" s="10">
        <f t="shared" ref="H16:H23" si="4">58*58*E16/(2*0.000000000066743)</f>
        <v>1.216716305829825E+17</v>
      </c>
      <c r="I16" s="10">
        <f t="shared" ref="I16:I23" si="5">70*70*E16/(2*0.000000000066743)</f>
        <v>1.7722681030220397E+17</v>
      </c>
      <c r="J16" s="10">
        <f t="shared" si="0"/>
        <v>2.4319858621877949E+17</v>
      </c>
    </row>
    <row r="17" spans="2:10" ht="20">
      <c r="B17" s="37"/>
      <c r="C17" s="41"/>
      <c r="D17" s="9">
        <v>4</v>
      </c>
      <c r="E17" s="9">
        <f t="shared" si="1"/>
        <v>6437.36</v>
      </c>
      <c r="F17" s="10">
        <f t="shared" si="2"/>
        <v>8.9167992448646304E+16</v>
      </c>
      <c r="G17" s="10">
        <f t="shared" si="3"/>
        <v>1.1578818273077326E+17</v>
      </c>
      <c r="H17" s="10">
        <f t="shared" si="4"/>
        <v>1.6222884077730998E+17</v>
      </c>
      <c r="I17" s="10">
        <f t="shared" si="5"/>
        <v>2.36302413736272E+17</v>
      </c>
      <c r="J17" s="10">
        <f t="shared" si="0"/>
        <v>3.2426478162503936E+17</v>
      </c>
    </row>
    <row r="18" spans="2:10" ht="20">
      <c r="B18" s="39" t="s">
        <v>12</v>
      </c>
      <c r="C18" s="42"/>
      <c r="D18" s="9">
        <v>5</v>
      </c>
      <c r="E18" s="9">
        <f t="shared" si="1"/>
        <v>8046.7</v>
      </c>
      <c r="F18" s="10">
        <f>43*43*E18/(2*0.000000000066743)</f>
        <v>1.1145999056080787E+17</v>
      </c>
      <c r="G18" s="10">
        <f t="shared" si="3"/>
        <v>1.4473522841346659E+17</v>
      </c>
      <c r="H18" s="10">
        <f t="shared" si="4"/>
        <v>2.027860509716375E+17</v>
      </c>
      <c r="I18" s="10">
        <f t="shared" si="5"/>
        <v>2.9537801717033997E+17</v>
      </c>
      <c r="J18" s="10">
        <f t="shared" si="0"/>
        <v>4.053309770312992E+17</v>
      </c>
    </row>
    <row r="19" spans="2:10" ht="20">
      <c r="B19" s="40"/>
      <c r="C19" s="40" t="s">
        <v>26</v>
      </c>
      <c r="D19" s="9">
        <v>6</v>
      </c>
      <c r="E19" s="9">
        <f t="shared" si="1"/>
        <v>9656.0399999999991</v>
      </c>
      <c r="F19" s="10">
        <f t="shared" si="2"/>
        <v>1.3375198867296944E+17</v>
      </c>
      <c r="G19" s="10">
        <f t="shared" si="3"/>
        <v>1.736822740961599E+17</v>
      </c>
      <c r="H19" s="10">
        <f t="shared" si="4"/>
        <v>2.4334326116596499E+17</v>
      </c>
      <c r="I19" s="10">
        <f t="shared" si="5"/>
        <v>3.5445362060440794E+17</v>
      </c>
      <c r="J19" s="10">
        <f t="shared" si="0"/>
        <v>4.8639717243755898E+17</v>
      </c>
    </row>
    <row r="20" spans="2:10" ht="20">
      <c r="B20" s="37"/>
      <c r="C20" s="41"/>
      <c r="D20" s="9">
        <v>7</v>
      </c>
      <c r="E20" s="9">
        <f t="shared" si="1"/>
        <v>11265.38</v>
      </c>
      <c r="F20" s="10">
        <f t="shared" si="2"/>
        <v>1.5604398678513101E+17</v>
      </c>
      <c r="G20" s="10">
        <f t="shared" si="3"/>
        <v>2.0262931977885322E+17</v>
      </c>
      <c r="H20" s="10">
        <f t="shared" si="4"/>
        <v>2.8390047136029248E+17</v>
      </c>
      <c r="I20" s="10">
        <f t="shared" si="5"/>
        <v>4.135292240384759E+17</v>
      </c>
      <c r="J20" s="10">
        <f t="shared" si="0"/>
        <v>5.6746336784381882E+17</v>
      </c>
    </row>
    <row r="21" spans="2:10" ht="20">
      <c r="B21" s="39" t="s">
        <v>13</v>
      </c>
      <c r="C21" s="42"/>
      <c r="D21" s="9">
        <v>8</v>
      </c>
      <c r="E21" s="9">
        <f t="shared" si="1"/>
        <v>12874.72</v>
      </c>
      <c r="F21" s="10">
        <f t="shared" si="2"/>
        <v>1.7833598489729261E+17</v>
      </c>
      <c r="G21" s="10">
        <f t="shared" si="3"/>
        <v>2.3157636546154653E+17</v>
      </c>
      <c r="H21" s="10">
        <f t="shared" si="4"/>
        <v>3.2445768155461997E+17</v>
      </c>
      <c r="I21" s="10">
        <f t="shared" si="5"/>
        <v>4.72604827472544E+17</v>
      </c>
      <c r="J21" s="10">
        <f t="shared" si="0"/>
        <v>6.4852956325007872E+17</v>
      </c>
    </row>
    <row r="22" spans="2:10" ht="20">
      <c r="B22" s="40"/>
      <c r="C22" s="40" t="s">
        <v>27</v>
      </c>
      <c r="D22" s="9">
        <v>9</v>
      </c>
      <c r="E22" s="9">
        <f t="shared" si="1"/>
        <v>14484.06</v>
      </c>
      <c r="F22" s="10">
        <f t="shared" si="2"/>
        <v>2.0062798300945418E+17</v>
      </c>
      <c r="G22" s="10">
        <f t="shared" si="3"/>
        <v>2.6052341114423987E+17</v>
      </c>
      <c r="H22" s="10">
        <f t="shared" si="4"/>
        <v>3.6501489174894746E+17</v>
      </c>
      <c r="I22" s="10">
        <f t="shared" si="5"/>
        <v>5.3168043090661197E+17</v>
      </c>
      <c r="J22" s="10">
        <f t="shared" si="0"/>
        <v>7.2959575865633856E+17</v>
      </c>
    </row>
    <row r="23" spans="2:10">
      <c r="D23" s="9">
        <f>20/2</f>
        <v>10</v>
      </c>
      <c r="E23" s="9">
        <f>1609.34*D23</f>
        <v>16093.4</v>
      </c>
      <c r="F23" s="10">
        <f>43*43*E23/(2*0.000000000066743)</f>
        <v>2.2291998112161574E+17</v>
      </c>
      <c r="G23" s="10">
        <f t="shared" si="3"/>
        <v>2.8947045682693318E+17</v>
      </c>
      <c r="H23" s="10">
        <f t="shared" si="4"/>
        <v>4.0557210194327501E+17</v>
      </c>
      <c r="I23" s="10">
        <f t="shared" si="5"/>
        <v>5.9075603434067994E+17</v>
      </c>
      <c r="J23" s="10">
        <f t="shared" si="0"/>
        <v>8.106619540625984E+17</v>
      </c>
    </row>
    <row r="24" spans="2:10">
      <c r="D24" s="9">
        <f t="shared" ref="D24:D33" si="6">D23+1</f>
        <v>11</v>
      </c>
      <c r="E24" s="9">
        <f t="shared" ref="E24:E33" si="7">1609.34*D24</f>
        <v>17702.739999999998</v>
      </c>
      <c r="F24" s="10">
        <f>E24*43*43/(2*0.000000000066743)</f>
        <v>2.4521197923377734E+17</v>
      </c>
      <c r="G24" s="10">
        <f t="shared" si="3"/>
        <v>3.184175025096265E+17</v>
      </c>
      <c r="H24" s="10">
        <f t="shared" ref="H24:H33" si="8">E24*58*58/(2*0.000000000066743)</f>
        <v>4.461293121376025E+17</v>
      </c>
      <c r="I24" s="10">
        <f t="shared" ref="I24:I33" si="9">E24*70*70/(2*0.000000000066743)</f>
        <v>6.498316377747479E+17</v>
      </c>
      <c r="J24" s="10">
        <f t="shared" si="0"/>
        <v>8.9172814946885811E+17</v>
      </c>
    </row>
    <row r="25" spans="2:10">
      <c r="D25" s="9">
        <f t="shared" si="6"/>
        <v>12</v>
      </c>
      <c r="E25" s="9">
        <f t="shared" si="7"/>
        <v>19312.079999999998</v>
      </c>
      <c r="F25" s="10">
        <f t="shared" ref="F25:F33" si="10">E25*43*43/(2*0.000000000066743)</f>
        <v>2.6750397734593888E+17</v>
      </c>
      <c r="G25" s="10">
        <f t="shared" ref="G25:G33" si="11">E25*49*49/(2*0.000000000066743)</f>
        <v>3.4736454819231981E+17</v>
      </c>
      <c r="H25" s="10">
        <f t="shared" si="8"/>
        <v>4.8668652233192998E+17</v>
      </c>
      <c r="I25" s="10">
        <f t="shared" si="9"/>
        <v>7.0890724120881587E+17</v>
      </c>
      <c r="J25" s="10">
        <f t="shared" si="0"/>
        <v>9.7279434487511795E+17</v>
      </c>
    </row>
    <row r="26" spans="2:10">
      <c r="D26" s="9">
        <f t="shared" si="6"/>
        <v>13</v>
      </c>
      <c r="E26" s="9">
        <f t="shared" si="7"/>
        <v>20921.419999999998</v>
      </c>
      <c r="F26" s="10">
        <f t="shared" si="10"/>
        <v>2.8979597545810048E+17</v>
      </c>
      <c r="G26" s="10">
        <f t="shared" si="11"/>
        <v>3.7631159387501312E+17</v>
      </c>
      <c r="H26" s="10">
        <f t="shared" si="8"/>
        <v>5.2724373252625747E+17</v>
      </c>
      <c r="I26" s="10">
        <f t="shared" si="9"/>
        <v>7.6798284464288397E+17</v>
      </c>
      <c r="J26" s="10">
        <f t="shared" si="0"/>
        <v>1.0538605402813778E+18</v>
      </c>
    </row>
    <row r="27" spans="2:10">
      <c r="D27" s="9">
        <f t="shared" si="6"/>
        <v>14</v>
      </c>
      <c r="E27" s="9">
        <f t="shared" si="7"/>
        <v>22530.76</v>
      </c>
      <c r="F27" s="10">
        <f t="shared" si="10"/>
        <v>3.1208797357026202E+17</v>
      </c>
      <c r="G27" s="10">
        <f t="shared" si="11"/>
        <v>4.0525863955770643E+17</v>
      </c>
      <c r="H27" s="10">
        <f t="shared" si="8"/>
        <v>5.678009427205849E+17</v>
      </c>
      <c r="I27" s="10">
        <f t="shared" si="9"/>
        <v>8.2705844807695194E+17</v>
      </c>
      <c r="J27" s="10">
        <f t="shared" si="0"/>
        <v>1.1349267356876376E+18</v>
      </c>
    </row>
    <row r="28" spans="2:10">
      <c r="D28" s="9">
        <f t="shared" si="6"/>
        <v>15</v>
      </c>
      <c r="E28" s="9">
        <f t="shared" si="7"/>
        <v>24140.1</v>
      </c>
      <c r="F28" s="10">
        <f t="shared" si="10"/>
        <v>3.3437997168242362E+17</v>
      </c>
      <c r="G28" s="10">
        <f t="shared" si="11"/>
        <v>4.3420568524039974E+17</v>
      </c>
      <c r="H28" s="10">
        <f t="shared" si="8"/>
        <v>6.0835815291491238E+17</v>
      </c>
      <c r="I28" s="10">
        <f t="shared" si="9"/>
        <v>8.861340515110199E+17</v>
      </c>
      <c r="J28" s="10">
        <f t="shared" si="0"/>
        <v>1.2159929310938975E+18</v>
      </c>
    </row>
    <row r="29" spans="2:10">
      <c r="D29" s="9">
        <f t="shared" si="6"/>
        <v>16</v>
      </c>
      <c r="E29" s="9">
        <f t="shared" si="7"/>
        <v>25749.439999999999</v>
      </c>
      <c r="F29" s="10">
        <f t="shared" si="10"/>
        <v>3.5667196979458522E+17</v>
      </c>
      <c r="G29" s="10">
        <f t="shared" si="11"/>
        <v>4.6315273092309306E+17</v>
      </c>
      <c r="H29" s="10">
        <f t="shared" si="8"/>
        <v>6.4891536310923994E+17</v>
      </c>
      <c r="I29" s="10">
        <f t="shared" si="9"/>
        <v>9.4520965494508787E+17</v>
      </c>
      <c r="J29" s="10">
        <f t="shared" si="0"/>
        <v>1.2970591265001574E+18</v>
      </c>
    </row>
    <row r="30" spans="2:10">
      <c r="D30" s="9">
        <f t="shared" si="6"/>
        <v>17</v>
      </c>
      <c r="E30" s="9">
        <f t="shared" si="7"/>
        <v>27358.78</v>
      </c>
      <c r="F30" s="10">
        <f t="shared" si="10"/>
        <v>3.7896396790674682E+17</v>
      </c>
      <c r="G30" s="10">
        <f t="shared" si="11"/>
        <v>4.9209977660578643E+17</v>
      </c>
      <c r="H30" s="10">
        <f t="shared" si="8"/>
        <v>6.8947257330356749E+17</v>
      </c>
      <c r="I30" s="10">
        <f t="shared" si="9"/>
        <v>1.0042852583791558E+18</v>
      </c>
      <c r="J30" s="10">
        <f t="shared" si="0"/>
        <v>1.3781253219064172E+18</v>
      </c>
    </row>
    <row r="31" spans="2:10">
      <c r="D31" s="9">
        <f t="shared" si="6"/>
        <v>18</v>
      </c>
      <c r="E31" s="9">
        <f t="shared" si="7"/>
        <v>28968.12</v>
      </c>
      <c r="F31" s="10">
        <f t="shared" si="10"/>
        <v>4.0125596601890835E+17</v>
      </c>
      <c r="G31" s="10">
        <f t="shared" si="11"/>
        <v>5.2104682228847968E+17</v>
      </c>
      <c r="H31" s="10">
        <f t="shared" si="8"/>
        <v>7.3002978349789491E+17</v>
      </c>
      <c r="I31" s="10">
        <f t="shared" si="9"/>
        <v>1.0633608618132239E+18</v>
      </c>
      <c r="J31" s="10">
        <f t="shared" si="0"/>
        <v>1.4591915173126771E+18</v>
      </c>
    </row>
    <row r="32" spans="2:10">
      <c r="D32" s="9">
        <f t="shared" si="6"/>
        <v>19</v>
      </c>
      <c r="E32" s="9">
        <f t="shared" si="7"/>
        <v>30577.46</v>
      </c>
      <c r="F32" s="10">
        <f t="shared" si="10"/>
        <v>4.2354796413106995E+17</v>
      </c>
      <c r="G32" s="10">
        <f t="shared" si="11"/>
        <v>5.4999386797117312E+17</v>
      </c>
      <c r="H32" s="10">
        <f t="shared" si="8"/>
        <v>7.7058699369222246E+17</v>
      </c>
      <c r="I32" s="10">
        <f t="shared" si="9"/>
        <v>1.1224364652472918E+18</v>
      </c>
      <c r="J32" s="10">
        <f t="shared" si="0"/>
        <v>1.5402577127189368E+18</v>
      </c>
    </row>
    <row r="33" spans="4:10">
      <c r="D33" s="9">
        <f t="shared" si="6"/>
        <v>20</v>
      </c>
      <c r="E33" s="9">
        <f t="shared" si="7"/>
        <v>32186.799999999999</v>
      </c>
      <c r="F33" s="10">
        <f t="shared" si="10"/>
        <v>4.4583996224323149E+17</v>
      </c>
      <c r="G33" s="10">
        <f t="shared" si="11"/>
        <v>5.7894091365386637E+17</v>
      </c>
      <c r="H33" s="10">
        <f t="shared" si="8"/>
        <v>8.1114420388654989E+17</v>
      </c>
      <c r="I33" s="10">
        <f t="shared" si="9"/>
        <v>1.1815120686813599E+18</v>
      </c>
      <c r="J33" s="10">
        <f t="shared" si="0"/>
        <v>1.6213239081251968E+18</v>
      </c>
    </row>
    <row r="34" spans="4:10">
      <c r="D34" s="2"/>
      <c r="E34" s="5" t="s">
        <v>8</v>
      </c>
      <c r="F34" s="4">
        <f>SUM(F14:F33)/20</f>
        <v>2.3406598017769658E+17</v>
      </c>
      <c r="G34" s="4">
        <f>SUM(G15:G33)/20</f>
        <v>3.0249662738414515E+17</v>
      </c>
      <c r="H34" s="4">
        <f>SUM(H15:H33)/20</f>
        <v>4.2382284653072237E+17</v>
      </c>
      <c r="I34" s="4">
        <f>SUM(I15:I33)/20</f>
        <v>6.1734005588601037E+17</v>
      </c>
      <c r="J34" s="4">
        <f>SUM(J15:J33)/20</f>
        <v>8.471417419954153E+17</v>
      </c>
    </row>
    <row r="39" spans="4:10">
      <c r="D39" s="2"/>
      <c r="E39" s="2"/>
      <c r="F39" s="2"/>
      <c r="G39" s="2"/>
      <c r="H39" s="2"/>
      <c r="I39" s="2"/>
      <c r="J39" s="2"/>
    </row>
    <row r="40" spans="4:10">
      <c r="D40" s="2"/>
      <c r="E40" s="2"/>
      <c r="F40" s="2"/>
      <c r="G40" s="2"/>
      <c r="H40" s="2"/>
      <c r="I40" s="2"/>
      <c r="J40" s="2"/>
    </row>
    <row r="41" spans="4:10" ht="28">
      <c r="D41" s="36" t="s">
        <v>55</v>
      </c>
      <c r="E41" s="2"/>
      <c r="F41" s="2"/>
      <c r="G41" s="2"/>
      <c r="H41" s="2"/>
      <c r="I41" s="2"/>
      <c r="J41" s="2"/>
    </row>
    <row r="42" spans="4:10">
      <c r="D42" s="2"/>
      <c r="E42" s="2"/>
      <c r="F42" s="2"/>
      <c r="G42" s="2"/>
      <c r="H42" s="2"/>
      <c r="I42" s="2"/>
      <c r="J42" s="2"/>
    </row>
    <row r="43" spans="4:10">
      <c r="D43" s="2"/>
      <c r="E43" s="2"/>
      <c r="F43" s="2" t="s">
        <v>15</v>
      </c>
      <c r="G43" s="2" t="s">
        <v>16</v>
      </c>
      <c r="H43" s="2" t="s">
        <v>17</v>
      </c>
      <c r="I43" s="2" t="s">
        <v>18</v>
      </c>
      <c r="J43" s="2" t="s">
        <v>19</v>
      </c>
    </row>
    <row r="44" spans="4:10">
      <c r="F44" s="6" t="s">
        <v>7</v>
      </c>
      <c r="G44" s="6" t="s">
        <v>7</v>
      </c>
      <c r="H44" s="6" t="s">
        <v>7</v>
      </c>
      <c r="I44" s="6" t="s">
        <v>7</v>
      </c>
      <c r="J44" s="6" t="s">
        <v>7</v>
      </c>
    </row>
    <row r="45" spans="4:10">
      <c r="F45" s="3">
        <v>119</v>
      </c>
      <c r="G45" s="3">
        <v>154</v>
      </c>
      <c r="H45" s="3">
        <v>178</v>
      </c>
      <c r="I45" s="3">
        <v>209</v>
      </c>
      <c r="J45" s="3">
        <v>252</v>
      </c>
    </row>
    <row r="46" spans="4:10">
      <c r="F46" s="6" t="s">
        <v>2</v>
      </c>
      <c r="G46" s="6" t="s">
        <v>2</v>
      </c>
      <c r="H46" s="6" t="s">
        <v>2</v>
      </c>
      <c r="I46" s="6" t="s">
        <v>2</v>
      </c>
      <c r="J46" s="6" t="s">
        <v>2</v>
      </c>
    </row>
    <row r="47" spans="4:10">
      <c r="F47" s="3">
        <f>F45*1000/3600</f>
        <v>33.055555555555557</v>
      </c>
      <c r="G47" s="3">
        <f t="shared" ref="G47:J47" si="12">G45*1000/3600</f>
        <v>42.777777777777779</v>
      </c>
      <c r="H47" s="3">
        <f t="shared" si="12"/>
        <v>49.444444444444443</v>
      </c>
      <c r="I47" s="3">
        <f t="shared" si="12"/>
        <v>58.055555555555557</v>
      </c>
      <c r="J47" s="3">
        <f t="shared" si="12"/>
        <v>70</v>
      </c>
    </row>
    <row r="48" spans="4:10">
      <c r="D48" s="5" t="s">
        <v>4</v>
      </c>
      <c r="E48" s="5" t="s">
        <v>3</v>
      </c>
      <c r="F48" s="5" t="s">
        <v>6</v>
      </c>
      <c r="G48" s="5" t="s">
        <v>6</v>
      </c>
      <c r="H48" s="5" t="s">
        <v>6</v>
      </c>
      <c r="I48" s="5" t="s">
        <v>6</v>
      </c>
      <c r="J48" s="5" t="s">
        <v>6</v>
      </c>
    </row>
    <row r="49" spans="4:10">
      <c r="D49" s="9">
        <v>1</v>
      </c>
      <c r="E49" s="9">
        <f>1609.34*D49</f>
        <v>1609.34</v>
      </c>
      <c r="F49" s="10">
        <f>33*33*E49/(2*0.000000000066743)</f>
        <v>1.3129251457081642E+16</v>
      </c>
      <c r="G49" s="10">
        <f>43*43*E49/(2*0.000000000066743)</f>
        <v>2.2291998112161576E+16</v>
      </c>
      <c r="H49" s="10">
        <f>49*49*E49/(2*0.000000000066743)</f>
        <v>2.8947045682693316E+16</v>
      </c>
      <c r="I49" s="10">
        <f>58*58*E49/(2*0.000000000066743)</f>
        <v>4.0557210194327496E+16</v>
      </c>
      <c r="J49" s="10">
        <f>70*70*E49/(2*0.000000000066743)</f>
        <v>5.9075603434068E+16</v>
      </c>
    </row>
    <row r="50" spans="4:10">
      <c r="D50" s="9">
        <v>2</v>
      </c>
      <c r="E50" s="9">
        <f>1609.34*D50</f>
        <v>3218.68</v>
      </c>
      <c r="F50" s="10">
        <f>33*33*E50/(2*0.000000000066743)</f>
        <v>2.6258502914163284E+16</v>
      </c>
      <c r="G50" s="10">
        <f>43*43*E50/(2*0.000000000066743)</f>
        <v>4.4583996224323152E+16</v>
      </c>
      <c r="H50" s="10">
        <f>49*49*E50/(2*0.000000000066743)</f>
        <v>5.7894091365386632E+16</v>
      </c>
      <c r="I50" s="10">
        <f>58*58*E50/(2*0.000000000066743)</f>
        <v>8.1114420388654992E+16</v>
      </c>
      <c r="J50" s="10">
        <f>70*70*E50/(2*0.000000000066743)</f>
        <v>1.18151206868136E+17</v>
      </c>
    </row>
    <row r="51" spans="4:10">
      <c r="D51" s="9">
        <v>3</v>
      </c>
      <c r="E51" s="9">
        <f t="shared" ref="E51:E57" si="13">1609.34*D51</f>
        <v>4828.0199999999995</v>
      </c>
      <c r="F51" s="10">
        <f t="shared" ref="F51:F68" si="14">33*33*E51/(2*0.000000000066743)</f>
        <v>3.938775437124492E+16</v>
      </c>
      <c r="G51" s="10">
        <f t="shared" ref="G51:G68" si="15">43*43*E51/(2*0.000000000066743)</f>
        <v>6.687599433648472E+16</v>
      </c>
      <c r="H51" s="10">
        <f t="shared" ref="H51:H68" si="16">49*49*E51/(2*0.000000000066743)</f>
        <v>8.6841137048079952E+16</v>
      </c>
      <c r="I51" s="10">
        <f t="shared" ref="I51:I68" si="17">58*58*E51/(2*0.000000000066743)</f>
        <v>1.216716305829825E+17</v>
      </c>
      <c r="J51" s="10">
        <f t="shared" ref="J51:J68" si="18">70*70*E51/(2*0.000000000066743)</f>
        <v>1.7722681030220397E+17</v>
      </c>
    </row>
    <row r="52" spans="4:10">
      <c r="D52" s="9">
        <v>4</v>
      </c>
      <c r="E52" s="9">
        <f t="shared" si="13"/>
        <v>6437.36</v>
      </c>
      <c r="F52" s="10">
        <f t="shared" si="14"/>
        <v>5.2517005828326568E+16</v>
      </c>
      <c r="G52" s="10">
        <f t="shared" si="15"/>
        <v>8.9167992448646304E+16</v>
      </c>
      <c r="H52" s="10">
        <f t="shared" si="16"/>
        <v>1.1578818273077326E+17</v>
      </c>
      <c r="I52" s="10">
        <f t="shared" si="17"/>
        <v>1.6222884077730998E+17</v>
      </c>
      <c r="J52" s="10">
        <f t="shared" si="18"/>
        <v>2.36302413736272E+17</v>
      </c>
    </row>
    <row r="53" spans="4:10">
      <c r="D53" s="9">
        <v>5</v>
      </c>
      <c r="E53" s="9">
        <f t="shared" si="13"/>
        <v>8046.7</v>
      </c>
      <c r="F53" s="10">
        <f t="shared" si="14"/>
        <v>6.5646257285408208E+16</v>
      </c>
      <c r="G53" s="10">
        <f t="shared" si="15"/>
        <v>1.1145999056080787E+17</v>
      </c>
      <c r="H53" s="10">
        <f t="shared" si="16"/>
        <v>1.4473522841346659E+17</v>
      </c>
      <c r="I53" s="10">
        <f t="shared" si="17"/>
        <v>2.027860509716375E+17</v>
      </c>
      <c r="J53" s="10">
        <f t="shared" si="18"/>
        <v>2.9537801717033997E+17</v>
      </c>
    </row>
    <row r="54" spans="4:10">
      <c r="D54" s="9">
        <v>6</v>
      </c>
      <c r="E54" s="9">
        <f t="shared" si="13"/>
        <v>9656.0399999999991</v>
      </c>
      <c r="F54" s="10">
        <f t="shared" si="14"/>
        <v>7.877550874248984E+16</v>
      </c>
      <c r="G54" s="10">
        <f t="shared" si="15"/>
        <v>1.3375198867296944E+17</v>
      </c>
      <c r="H54" s="10">
        <f t="shared" si="16"/>
        <v>1.736822740961599E+17</v>
      </c>
      <c r="I54" s="10">
        <f t="shared" si="17"/>
        <v>2.4334326116596499E+17</v>
      </c>
      <c r="J54" s="10">
        <f t="shared" si="18"/>
        <v>3.5445362060440794E+17</v>
      </c>
    </row>
    <row r="55" spans="4:10">
      <c r="D55" s="9">
        <v>7</v>
      </c>
      <c r="E55" s="9">
        <f t="shared" si="13"/>
        <v>11265.38</v>
      </c>
      <c r="F55" s="10">
        <f t="shared" si="14"/>
        <v>9.1904760199571488E+16</v>
      </c>
      <c r="G55" s="10">
        <f t="shared" si="15"/>
        <v>1.5604398678513101E+17</v>
      </c>
      <c r="H55" s="10">
        <f t="shared" si="16"/>
        <v>2.0262931977885322E+17</v>
      </c>
      <c r="I55" s="10">
        <f t="shared" si="17"/>
        <v>2.8390047136029248E+17</v>
      </c>
      <c r="J55" s="10">
        <f t="shared" si="18"/>
        <v>4.135292240384759E+17</v>
      </c>
    </row>
    <row r="56" spans="4:10">
      <c r="D56" s="9">
        <v>8</v>
      </c>
      <c r="E56" s="9">
        <f t="shared" si="13"/>
        <v>12874.72</v>
      </c>
      <c r="F56" s="10">
        <f t="shared" si="14"/>
        <v>1.0503401165665314E+17</v>
      </c>
      <c r="G56" s="10">
        <f t="shared" si="15"/>
        <v>1.7833598489729261E+17</v>
      </c>
      <c r="H56" s="10">
        <f t="shared" si="16"/>
        <v>2.3157636546154653E+17</v>
      </c>
      <c r="I56" s="10">
        <f t="shared" si="17"/>
        <v>3.2445768155461997E+17</v>
      </c>
      <c r="J56" s="10">
        <f t="shared" si="18"/>
        <v>4.72604827472544E+17</v>
      </c>
    </row>
    <row r="57" spans="4:10">
      <c r="D57" s="9">
        <v>9</v>
      </c>
      <c r="E57" s="9">
        <f t="shared" si="13"/>
        <v>14484.06</v>
      </c>
      <c r="F57" s="10">
        <f t="shared" si="14"/>
        <v>1.1816326311373478E+17</v>
      </c>
      <c r="G57" s="10">
        <f t="shared" si="15"/>
        <v>2.0062798300945418E+17</v>
      </c>
      <c r="H57" s="10">
        <f t="shared" si="16"/>
        <v>2.6052341114423987E+17</v>
      </c>
      <c r="I57" s="10">
        <f t="shared" si="17"/>
        <v>3.6501489174894746E+17</v>
      </c>
      <c r="J57" s="10">
        <f t="shared" si="18"/>
        <v>5.3168043090661197E+17</v>
      </c>
    </row>
    <row r="58" spans="4:10">
      <c r="D58" s="9">
        <f>20/2</f>
        <v>10</v>
      </c>
      <c r="E58" s="9">
        <f>1609.34*D58</f>
        <v>16093.4</v>
      </c>
      <c r="F58" s="10">
        <f t="shared" si="14"/>
        <v>1.3129251457081642E+17</v>
      </c>
      <c r="G58" s="10">
        <f t="shared" si="15"/>
        <v>2.2291998112161574E+17</v>
      </c>
      <c r="H58" s="10">
        <f t="shared" si="16"/>
        <v>2.8947045682693318E+17</v>
      </c>
      <c r="I58" s="10">
        <f t="shared" si="17"/>
        <v>4.0557210194327501E+17</v>
      </c>
      <c r="J58" s="10">
        <f t="shared" si="18"/>
        <v>5.9075603434067994E+17</v>
      </c>
    </row>
    <row r="59" spans="4:10">
      <c r="D59" s="9">
        <f t="shared" ref="D59:D68" si="19">D58+1</f>
        <v>11</v>
      </c>
      <c r="E59" s="9">
        <f t="shared" ref="E59:E68" si="20">1609.34*D59</f>
        <v>17702.739999999998</v>
      </c>
      <c r="F59" s="10">
        <f t="shared" si="14"/>
        <v>1.4442176602789808E+17</v>
      </c>
      <c r="G59" s="10">
        <f t="shared" si="15"/>
        <v>2.4521197923377734E+17</v>
      </c>
      <c r="H59" s="10">
        <f t="shared" si="16"/>
        <v>3.184175025096265E+17</v>
      </c>
      <c r="I59" s="10">
        <f t="shared" si="17"/>
        <v>4.4612931213760243E+17</v>
      </c>
      <c r="J59" s="10">
        <f t="shared" si="18"/>
        <v>6.498316377747479E+17</v>
      </c>
    </row>
    <row r="60" spans="4:10">
      <c r="D60" s="9">
        <f t="shared" si="19"/>
        <v>12</v>
      </c>
      <c r="E60" s="9">
        <f t="shared" si="20"/>
        <v>19312.079999999998</v>
      </c>
      <c r="F60" s="10">
        <f t="shared" si="14"/>
        <v>1.5755101748497968E+17</v>
      </c>
      <c r="G60" s="10">
        <f t="shared" si="15"/>
        <v>2.6750397734593888E+17</v>
      </c>
      <c r="H60" s="10">
        <f t="shared" si="16"/>
        <v>3.4736454819231981E+17</v>
      </c>
      <c r="I60" s="10">
        <f t="shared" si="17"/>
        <v>4.8668652233192998E+17</v>
      </c>
      <c r="J60" s="10">
        <f t="shared" si="18"/>
        <v>7.0890724120881587E+17</v>
      </c>
    </row>
    <row r="61" spans="4:10">
      <c r="D61" s="9">
        <f t="shared" si="19"/>
        <v>13</v>
      </c>
      <c r="E61" s="9">
        <f t="shared" si="20"/>
        <v>20921.419999999998</v>
      </c>
      <c r="F61" s="10">
        <f t="shared" si="14"/>
        <v>1.7068026894206134E+17</v>
      </c>
      <c r="G61" s="10">
        <f t="shared" si="15"/>
        <v>2.8979597545810048E+17</v>
      </c>
      <c r="H61" s="10">
        <f t="shared" si="16"/>
        <v>3.7631159387501312E+17</v>
      </c>
      <c r="I61" s="10">
        <f t="shared" si="17"/>
        <v>5.2724373252625747E+17</v>
      </c>
      <c r="J61" s="10">
        <f t="shared" si="18"/>
        <v>7.6798284464288384E+17</v>
      </c>
    </row>
    <row r="62" spans="4:10">
      <c r="D62" s="9">
        <f t="shared" si="19"/>
        <v>14</v>
      </c>
      <c r="E62" s="9">
        <f t="shared" si="20"/>
        <v>22530.76</v>
      </c>
      <c r="F62" s="10">
        <f t="shared" si="14"/>
        <v>1.8380952039914298E+17</v>
      </c>
      <c r="G62" s="10">
        <f t="shared" si="15"/>
        <v>3.1208797357026202E+17</v>
      </c>
      <c r="H62" s="10">
        <f t="shared" si="16"/>
        <v>4.0525863955770643E+17</v>
      </c>
      <c r="I62" s="10">
        <f t="shared" si="17"/>
        <v>5.6780094272058496E+17</v>
      </c>
      <c r="J62" s="10">
        <f t="shared" si="18"/>
        <v>8.2705844807695181E+17</v>
      </c>
    </row>
    <row r="63" spans="4:10">
      <c r="D63" s="9">
        <f t="shared" si="19"/>
        <v>15</v>
      </c>
      <c r="E63" s="9">
        <f t="shared" si="20"/>
        <v>24140.1</v>
      </c>
      <c r="F63" s="10">
        <f t="shared" si="14"/>
        <v>1.9693877185622464E+17</v>
      </c>
      <c r="G63" s="10">
        <f t="shared" si="15"/>
        <v>3.3437997168242362E+17</v>
      </c>
      <c r="H63" s="10">
        <f t="shared" si="16"/>
        <v>4.3420568524039974E+17</v>
      </c>
      <c r="I63" s="10">
        <f t="shared" si="17"/>
        <v>6.0835815291491238E+17</v>
      </c>
      <c r="J63" s="10">
        <f t="shared" si="18"/>
        <v>8.861340515110199E+17</v>
      </c>
    </row>
    <row r="64" spans="4:10">
      <c r="D64" s="9">
        <f t="shared" si="19"/>
        <v>16</v>
      </c>
      <c r="E64" s="9">
        <f t="shared" si="20"/>
        <v>25749.439999999999</v>
      </c>
      <c r="F64" s="10">
        <f t="shared" si="14"/>
        <v>2.1006802331330627E+17</v>
      </c>
      <c r="G64" s="10">
        <f t="shared" si="15"/>
        <v>3.5667196979458522E+17</v>
      </c>
      <c r="H64" s="10">
        <f t="shared" si="16"/>
        <v>4.6315273092309306E+17</v>
      </c>
      <c r="I64" s="10">
        <f t="shared" si="17"/>
        <v>6.4891536310923994E+17</v>
      </c>
      <c r="J64" s="10">
        <f t="shared" si="18"/>
        <v>9.45209654945088E+17</v>
      </c>
    </row>
    <row r="65" spans="2:11">
      <c r="D65" s="9">
        <f t="shared" si="19"/>
        <v>17</v>
      </c>
      <c r="E65" s="9">
        <f t="shared" si="20"/>
        <v>27358.78</v>
      </c>
      <c r="F65" s="10">
        <f t="shared" si="14"/>
        <v>2.231972747703879E+17</v>
      </c>
      <c r="G65" s="10">
        <f t="shared" si="15"/>
        <v>3.7896396790674682E+17</v>
      </c>
      <c r="H65" s="10">
        <f t="shared" si="16"/>
        <v>4.9209977660578637E+17</v>
      </c>
      <c r="I65" s="10">
        <f t="shared" si="17"/>
        <v>6.8947257330356749E+17</v>
      </c>
      <c r="J65" s="10">
        <f t="shared" si="18"/>
        <v>1.004285258379156E+18</v>
      </c>
    </row>
    <row r="66" spans="2:11">
      <c r="D66" s="9">
        <f t="shared" si="19"/>
        <v>18</v>
      </c>
      <c r="E66" s="9">
        <f t="shared" si="20"/>
        <v>28968.12</v>
      </c>
      <c r="F66" s="10">
        <f t="shared" si="14"/>
        <v>2.3632652622746957E+17</v>
      </c>
      <c r="G66" s="10">
        <f t="shared" si="15"/>
        <v>4.0125596601890835E+17</v>
      </c>
      <c r="H66" s="10">
        <f t="shared" si="16"/>
        <v>5.2104682228847974E+17</v>
      </c>
      <c r="I66" s="10">
        <f t="shared" si="17"/>
        <v>7.3002978349789491E+17</v>
      </c>
      <c r="J66" s="10">
        <f t="shared" si="18"/>
        <v>1.0633608618132239E+18</v>
      </c>
    </row>
    <row r="67" spans="2:11">
      <c r="D67" s="9">
        <f t="shared" si="19"/>
        <v>19</v>
      </c>
      <c r="E67" s="9">
        <f t="shared" si="20"/>
        <v>30577.46</v>
      </c>
      <c r="F67" s="10">
        <f t="shared" si="14"/>
        <v>2.494557776845512E+17</v>
      </c>
      <c r="G67" s="10">
        <f t="shared" si="15"/>
        <v>4.2354796413106995E+17</v>
      </c>
      <c r="H67" s="10">
        <f t="shared" si="16"/>
        <v>5.4999386797117299E+17</v>
      </c>
      <c r="I67" s="10">
        <f t="shared" si="17"/>
        <v>7.7058699369222246E+17</v>
      </c>
      <c r="J67" s="10">
        <f t="shared" si="18"/>
        <v>1.1224364652472919E+18</v>
      </c>
    </row>
    <row r="68" spans="2:11">
      <c r="D68" s="9">
        <f t="shared" si="19"/>
        <v>20</v>
      </c>
      <c r="E68" s="9">
        <f t="shared" si="20"/>
        <v>32186.799999999999</v>
      </c>
      <c r="F68" s="10">
        <f t="shared" si="14"/>
        <v>2.6258502914163283E+17</v>
      </c>
      <c r="G68" s="10">
        <f t="shared" si="15"/>
        <v>4.4583996224323149E+17</v>
      </c>
      <c r="H68" s="10">
        <f t="shared" si="16"/>
        <v>5.7894091365386637E+17</v>
      </c>
      <c r="I68" s="10">
        <f t="shared" si="17"/>
        <v>8.1114420388655002E+17</v>
      </c>
      <c r="J68" s="10">
        <f t="shared" si="18"/>
        <v>1.1815120686813599E+18</v>
      </c>
    </row>
    <row r="69" spans="2:11">
      <c r="D69" s="2"/>
      <c r="E69" s="5" t="s">
        <v>8</v>
      </c>
      <c r="F69" s="4">
        <f>SUM(F50:F68)/20</f>
        <v>1.3720067772650317E+17</v>
      </c>
      <c r="G69" s="4">
        <f>SUM(G50:G68)/20</f>
        <v>2.3295138027208848E+17</v>
      </c>
      <c r="H69" s="4">
        <f>SUM(H50:H68)/20</f>
        <v>3.0249662738414515E+17</v>
      </c>
      <c r="I69" s="4">
        <f>SUM(I50:I68)/20</f>
        <v>4.2382284653072237E+17</v>
      </c>
      <c r="J69" s="4">
        <f>SUM(J50:J68)/20</f>
        <v>6.1734005588601037E+17</v>
      </c>
    </row>
    <row r="72" spans="2:11">
      <c r="B72" s="37" t="s">
        <v>57</v>
      </c>
      <c r="C72" s="37"/>
      <c r="D72" s="12" t="s">
        <v>33</v>
      </c>
      <c r="E72" s="13" t="s">
        <v>20</v>
      </c>
      <c r="F72" s="13" t="s">
        <v>22</v>
      </c>
      <c r="G72" s="13" t="s">
        <v>21</v>
      </c>
      <c r="H72" s="13" t="s">
        <v>23</v>
      </c>
      <c r="I72" s="13" t="s">
        <v>30</v>
      </c>
      <c r="J72" s="13" t="s">
        <v>54</v>
      </c>
      <c r="K72" s="13" t="s">
        <v>24</v>
      </c>
    </row>
    <row r="73" spans="2:11">
      <c r="B73" s="2"/>
      <c r="C73" s="2"/>
      <c r="D73" s="17">
        <v>2005</v>
      </c>
      <c r="E73" s="17" t="s">
        <v>14</v>
      </c>
      <c r="F73" s="14">
        <v>5</v>
      </c>
      <c r="G73" s="15">
        <v>294</v>
      </c>
      <c r="H73" s="15">
        <v>81.667000000000002</v>
      </c>
      <c r="I73" s="16" t="s">
        <v>0</v>
      </c>
      <c r="J73" s="15">
        <f>1609.34</f>
        <v>1609.34</v>
      </c>
      <c r="K73" s="15">
        <f>H73*H73*J73/(2*0.000000000066743)</f>
        <v>8.040911662663696E+16</v>
      </c>
    </row>
    <row r="74" spans="2:11" ht="20">
      <c r="B74" s="32" t="s">
        <v>49</v>
      </c>
      <c r="C74" s="33"/>
      <c r="D74" s="17">
        <v>2005</v>
      </c>
      <c r="E74" s="17" t="s">
        <v>34</v>
      </c>
      <c r="F74" s="14">
        <v>3</v>
      </c>
      <c r="G74" s="15">
        <v>193</v>
      </c>
      <c r="H74" s="15">
        <v>53.6</v>
      </c>
      <c r="I74" s="16" t="s">
        <v>35</v>
      </c>
      <c r="J74" s="15">
        <f>J73*2.5</f>
        <v>4023.35</v>
      </c>
      <c r="K74" s="15">
        <f>J74*H74*H74/(2*0.000000000066743)</f>
        <v>8.6592778388744896E+16</v>
      </c>
    </row>
    <row r="75" spans="2:11" ht="20">
      <c r="B75" s="34" t="s">
        <v>44</v>
      </c>
      <c r="C75" s="35"/>
      <c r="D75" s="17">
        <v>1995</v>
      </c>
      <c r="E75" s="17" t="s">
        <v>36</v>
      </c>
      <c r="F75" s="14">
        <v>4</v>
      </c>
      <c r="G75" s="15">
        <v>241.4</v>
      </c>
      <c r="H75" s="15">
        <v>67</v>
      </c>
      <c r="I75" s="16" t="s">
        <v>37</v>
      </c>
      <c r="J75" s="15">
        <f>J73*3</f>
        <v>4828.0199999999995</v>
      </c>
      <c r="K75" s="15">
        <f>J75*H75*H75/(2*0.000000000066743)</f>
        <v>1.6236145947889667E+17</v>
      </c>
    </row>
    <row r="76" spans="2:11" ht="20">
      <c r="B76" s="32" t="s">
        <v>50</v>
      </c>
      <c r="C76" s="33"/>
      <c r="D76" s="17">
        <v>2004</v>
      </c>
      <c r="E76" s="17" t="s">
        <v>38</v>
      </c>
      <c r="F76" s="14">
        <v>4</v>
      </c>
      <c r="G76" s="15">
        <v>241.4</v>
      </c>
      <c r="H76" s="15">
        <v>67</v>
      </c>
      <c r="I76" s="16" t="s">
        <v>39</v>
      </c>
      <c r="J76" s="15">
        <f>J73*1.5</f>
        <v>2414.0099999999998</v>
      </c>
      <c r="K76" s="15">
        <f>J76*H76*H76/(2*0.000000000066743)</f>
        <v>8.1180729739448336E+16</v>
      </c>
    </row>
    <row r="77" spans="2:11" ht="20">
      <c r="B77" s="34" t="s">
        <v>45</v>
      </c>
      <c r="C77" s="35"/>
      <c r="D77" s="17">
        <v>1992</v>
      </c>
      <c r="E77" s="17" t="s">
        <v>40</v>
      </c>
      <c r="F77" s="14">
        <v>5</v>
      </c>
      <c r="G77" s="15">
        <v>265.5</v>
      </c>
      <c r="H77" s="15">
        <v>73.760000000000005</v>
      </c>
      <c r="I77" s="16" t="s">
        <v>41</v>
      </c>
      <c r="J77" s="15">
        <f>J73*3.5</f>
        <v>5632.69</v>
      </c>
      <c r="K77" s="15">
        <f>H77*H77*J77/(2*0.000000000066743)</f>
        <v>2.2957360123266864E+17</v>
      </c>
    </row>
    <row r="78" spans="2:11" ht="20">
      <c r="B78" s="32" t="s">
        <v>51</v>
      </c>
      <c r="C78" s="33"/>
      <c r="D78" s="17">
        <v>2017</v>
      </c>
      <c r="E78" s="17" t="s">
        <v>42</v>
      </c>
      <c r="F78" s="14">
        <v>5</v>
      </c>
      <c r="G78" s="15">
        <v>281.63499999999999</v>
      </c>
      <c r="H78" s="15">
        <v>78.23</v>
      </c>
      <c r="I78" s="16" t="s">
        <v>43</v>
      </c>
      <c r="J78" s="15">
        <f>J73*5</f>
        <v>8046.7</v>
      </c>
      <c r="K78" s="15">
        <f>J78*H78*H78/(2*0.000000000066743)</f>
        <v>3.6891707045255686E+17</v>
      </c>
    </row>
    <row r="79" spans="2:11" ht="20">
      <c r="B79" s="34" t="s">
        <v>46</v>
      </c>
      <c r="C79" s="35"/>
      <c r="D79" s="47"/>
      <c r="E79" s="47"/>
      <c r="F79" s="47"/>
      <c r="G79" s="47"/>
      <c r="H79" s="47"/>
      <c r="I79" s="47"/>
      <c r="J79" s="47"/>
      <c r="K79" s="47"/>
    </row>
    <row r="80" spans="2:11" ht="20">
      <c r="B80" s="32" t="s">
        <v>52</v>
      </c>
      <c r="C80" s="33"/>
      <c r="D80" s="47"/>
      <c r="E80" s="47" t="s">
        <v>59</v>
      </c>
      <c r="F80" s="47"/>
      <c r="G80" s="47"/>
      <c r="H80" s="47"/>
      <c r="I80" s="47"/>
      <c r="J80" s="47"/>
      <c r="K80" s="47"/>
    </row>
    <row r="81" spans="2:11" ht="20">
      <c r="B81" s="34" t="s">
        <v>47</v>
      </c>
      <c r="C81" s="35"/>
      <c r="D81" s="47"/>
      <c r="E81" s="47"/>
      <c r="F81" s="47"/>
      <c r="G81" s="47"/>
      <c r="H81" s="47"/>
      <c r="I81" s="47"/>
      <c r="J81" s="47"/>
      <c r="K81" s="47"/>
    </row>
    <row r="82" spans="2:11" ht="20">
      <c r="B82" s="32" t="s">
        <v>53</v>
      </c>
      <c r="C82" s="33"/>
      <c r="D82" s="47"/>
      <c r="E82" s="47"/>
      <c r="F82" s="47"/>
      <c r="G82" s="47"/>
      <c r="H82" s="47"/>
      <c r="I82" s="47"/>
      <c r="J82" s="47"/>
      <c r="K82" s="47"/>
    </row>
    <row r="83" spans="2:11" ht="20">
      <c r="B83" s="34" t="s">
        <v>48</v>
      </c>
      <c r="C83" s="35"/>
    </row>
    <row r="85" spans="2:11">
      <c r="D85" s="24" t="s">
        <v>31</v>
      </c>
    </row>
    <row r="86" spans="2:11">
      <c r="D86" t="s">
        <v>32</v>
      </c>
    </row>
    <row r="115" spans="15:33">
      <c r="O115" s="18"/>
    </row>
    <row r="119" spans="15:33" ht="36" customHeight="1">
      <c r="AE119" s="28"/>
      <c r="AF119" s="26"/>
      <c r="AG119" s="27"/>
    </row>
    <row r="120" spans="15:33" ht="16">
      <c r="AE120" s="13"/>
      <c r="AF120" s="29"/>
      <c r="AG120" s="25"/>
    </row>
    <row r="121" spans="15:33" ht="16">
      <c r="AE121" s="23"/>
      <c r="AF121" s="31"/>
      <c r="AG121" s="30"/>
    </row>
    <row r="122" spans="15:33" ht="16">
      <c r="AE122" s="23"/>
      <c r="AF122" s="31"/>
      <c r="AG122" s="30"/>
    </row>
    <row r="123" spans="15:33" ht="16">
      <c r="AE123" s="23"/>
      <c r="AF123" s="31"/>
      <c r="AG123" s="30"/>
    </row>
    <row r="124" spans="15:33" ht="16">
      <c r="AE124" s="23"/>
      <c r="AF124" s="31"/>
      <c r="AG124" s="30"/>
    </row>
    <row r="125" spans="15:33" ht="16">
      <c r="AE125" s="23"/>
      <c r="AF125" s="31"/>
      <c r="AG125" s="30"/>
    </row>
    <row r="126" spans="15:33">
      <c r="AG126" s="24"/>
    </row>
    <row r="132" spans="23:32" ht="18">
      <c r="W132" s="19"/>
    </row>
    <row r="136" spans="23:32" ht="20">
      <c r="AF136" s="11"/>
    </row>
    <row r="137" spans="23:32" ht="20">
      <c r="AF137" s="8"/>
    </row>
    <row r="138" spans="23:32" ht="20">
      <c r="W138" s="18"/>
      <c r="AF138" s="7"/>
    </row>
    <row r="139" spans="23:32" ht="20">
      <c r="AF139" s="11"/>
    </row>
    <row r="140" spans="23:32" ht="20">
      <c r="AF140" s="8"/>
    </row>
    <row r="141" spans="23:32" ht="20">
      <c r="AF141" s="7"/>
    </row>
    <row r="142" spans="23:32" ht="20">
      <c r="W142" s="18"/>
      <c r="AF142" s="11"/>
    </row>
    <row r="143" spans="23:32" ht="20">
      <c r="AF143" s="8"/>
    </row>
    <row r="144" spans="23:32" ht="20">
      <c r="AF144" s="7"/>
    </row>
    <row r="145" spans="19:32" ht="20">
      <c r="AF145" s="11"/>
    </row>
    <row r="146" spans="19:32" ht="20">
      <c r="AF146" s="8"/>
    </row>
    <row r="147" spans="19:32" ht="20">
      <c r="AF147" s="7"/>
    </row>
    <row r="148" spans="19:32" ht="20">
      <c r="AF148" s="11"/>
    </row>
    <row r="149" spans="19:32" ht="20">
      <c r="AF149" s="8"/>
    </row>
    <row r="153" spans="19:32" ht="17">
      <c r="S153" s="20"/>
    </row>
    <row r="175" spans="28:28">
      <c r="AB175" s="24"/>
    </row>
    <row r="179" spans="18:28">
      <c r="AB179" s="18"/>
    </row>
    <row r="186" spans="18:28" ht="21">
      <c r="R186" s="21"/>
    </row>
    <row r="206" spans="24:28">
      <c r="X206" s="18"/>
    </row>
    <row r="207" spans="24:28">
      <c r="AB207" s="22"/>
    </row>
    <row r="208" spans="24:28">
      <c r="AB208" s="22"/>
    </row>
    <row r="209" spans="23:26">
      <c r="X209" s="18"/>
      <c r="Z209" s="18"/>
    </row>
    <row r="212" spans="23:26">
      <c r="W212" s="18"/>
    </row>
    <row r="213" spans="23:26">
      <c r="Z213" s="18"/>
    </row>
    <row r="214" spans="23:26">
      <c r="W214" s="18"/>
    </row>
  </sheetData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Equation.DSMT4" shapeId="1025" r:id="rId3">
          <objectPr defaultSize="0" autoPict="0" r:id="rId4">
            <anchor moveWithCells="1">
              <from>
                <xdr:col>3</xdr:col>
                <xdr:colOff>12700</xdr:colOff>
                <xdr:row>6</xdr:row>
                <xdr:rowOff>63500</xdr:rowOff>
              </from>
              <to>
                <xdr:col>5</xdr:col>
                <xdr:colOff>0</xdr:colOff>
                <xdr:row>10</xdr:row>
                <xdr:rowOff>127000</xdr:rowOff>
              </to>
            </anchor>
          </objectPr>
        </oleObject>
      </mc:Choice>
      <mc:Fallback>
        <oleObject progId="Equation.DSMT4" shapeId="1025" r:id="rId3"/>
      </mc:Fallback>
    </mc:AlternateContent>
    <mc:AlternateContent xmlns:mc="http://schemas.openxmlformats.org/markup-compatibility/2006">
      <mc:Choice Requires="x14">
        <oleObject progId="Equation.DSMT4" shapeId="1032" r:id="rId5">
          <objectPr defaultSize="0" autoPict="0" r:id="rId4">
            <anchor moveWithCells="1">
              <from>
                <xdr:col>3</xdr:col>
                <xdr:colOff>12700</xdr:colOff>
                <xdr:row>43</xdr:row>
                <xdr:rowOff>0</xdr:rowOff>
              </from>
              <to>
                <xdr:col>5</xdr:col>
                <xdr:colOff>0</xdr:colOff>
                <xdr:row>48</xdr:row>
                <xdr:rowOff>38100</xdr:rowOff>
              </to>
            </anchor>
          </objectPr>
        </oleObject>
      </mc:Choice>
      <mc:Fallback>
        <oleObject progId="Equation.DSMT4" shapeId="1032" r:id="rId5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Castano</dc:creator>
  <cp:lastModifiedBy>Sandra Castano</cp:lastModifiedBy>
  <dcterms:created xsi:type="dcterms:W3CDTF">2021-01-16T22:27:27Z</dcterms:created>
  <dcterms:modified xsi:type="dcterms:W3CDTF">2021-01-30T23:49:58Z</dcterms:modified>
</cp:coreProperties>
</file>